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yct\Downloads\"/>
    </mc:Choice>
  </mc:AlternateContent>
  <xr:revisionPtr revIDLastSave="0" documentId="8_{74E0FC47-B212-4996-9BD4-B5F59198E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計算１" sheetId="2" state="hidden" r:id="rId2"/>
    <sheet name="アドバンテージ表" sheetId="6" state="hidden" r:id="rId3"/>
  </sheets>
  <definedNames>
    <definedName name="Animal">計算１!$J$3</definedName>
    <definedName name="Person">計算１!$H$3:$H$4</definedName>
    <definedName name="Robot">計算１!$I$3</definedName>
    <definedName name="Type">計算１!$H$2:$J$2</definedName>
    <definedName name="チーム情報">Sheet1!$B$2:$F$8</definedName>
    <definedName name="走者情報">Sheet1!$C$12:$G$17</definedName>
    <definedName name="補欠情報">Sheet1!$I$12:$M$14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B52" i="1" l="1"/>
  <c r="B58" i="1"/>
  <c r="B57" i="1"/>
  <c r="B53" i="1"/>
  <c r="I5" i="2" l="1"/>
  <c r="I3" i="2"/>
  <c r="I4" i="2"/>
  <c r="I6" i="2"/>
  <c r="I7" i="2"/>
  <c r="I8" i="2"/>
  <c r="B23" i="2" l="1"/>
  <c r="B19" i="2"/>
  <c r="B20" i="2"/>
  <c r="B21" i="2"/>
  <c r="B22" i="2"/>
  <c r="B26" i="2" s="1"/>
  <c r="B18" i="2"/>
  <c r="O22" i="2"/>
  <c r="O18" i="2"/>
  <c r="O19" i="2"/>
  <c r="O20" i="2"/>
  <c r="O21" i="2"/>
  <c r="I18" i="2"/>
  <c r="I19" i="2"/>
  <c r="I20" i="2"/>
  <c r="I21" i="2"/>
  <c r="I22" i="2"/>
  <c r="O17" i="2"/>
  <c r="I17" i="2"/>
  <c r="M18" i="2"/>
  <c r="P18" i="2" s="1"/>
  <c r="M19" i="2"/>
  <c r="P19" i="2" s="1"/>
  <c r="M20" i="2"/>
  <c r="P20" i="2" s="1"/>
  <c r="M21" i="2"/>
  <c r="P21" i="2" s="1"/>
  <c r="M22" i="2"/>
  <c r="P22" i="2" s="1"/>
  <c r="M17" i="2"/>
  <c r="P17" i="2" s="1"/>
  <c r="G18" i="2"/>
  <c r="J18" i="2" s="1"/>
  <c r="G19" i="2"/>
  <c r="G20" i="2"/>
  <c r="G21" i="2"/>
  <c r="J21" i="2" s="1"/>
  <c r="G22" i="2"/>
  <c r="J22" i="2" s="1"/>
  <c r="G17" i="2"/>
  <c r="F9" i="2"/>
  <c r="F8" i="2"/>
  <c r="O24" i="2" l="1"/>
  <c r="N22" i="2"/>
  <c r="N20" i="2"/>
  <c r="N21" i="2"/>
  <c r="J20" i="2"/>
  <c r="N18" i="2"/>
  <c r="N19" i="2" s="1"/>
  <c r="N17" i="2"/>
  <c r="H22" i="2"/>
  <c r="H18" i="2"/>
  <c r="H20" i="2"/>
  <c r="H17" i="2"/>
  <c r="H21" i="2"/>
  <c r="J17" i="2"/>
  <c r="J19" i="2"/>
  <c r="H19" i="2"/>
  <c r="D4" i="2"/>
  <c r="E5" i="2" s="1"/>
  <c r="D5" i="2"/>
  <c r="D6" i="2"/>
  <c r="E7" i="2" s="1"/>
  <c r="D7" i="2"/>
  <c r="E8" i="2" s="1"/>
  <c r="D8" i="2"/>
  <c r="D3" i="2"/>
  <c r="E4" i="2" s="1"/>
  <c r="B3" i="6" l="1"/>
  <c r="B26" i="1"/>
  <c r="C26" i="1" s="1"/>
  <c r="H24" i="2"/>
  <c r="O25" i="2"/>
  <c r="E6" i="2"/>
  <c r="B21" i="1" l="1"/>
  <c r="B25" i="2" s="1"/>
  <c r="D3" i="6"/>
  <c r="D4" i="6" s="1"/>
  <c r="B4" i="6"/>
  <c r="D5" i="6"/>
  <c r="B5" i="6"/>
  <c r="B27" i="1"/>
  <c r="H25" i="2"/>
  <c r="A15" i="6" l="1"/>
  <c r="C21" i="1"/>
  <c r="B22" i="1"/>
  <c r="B15" i="6" s="1"/>
  <c r="D6" i="6"/>
  <c r="B6" i="6"/>
  <c r="C27" i="1"/>
  <c r="C22" i="1" l="1"/>
  <c r="F12" i="6"/>
  <c r="L7" i="1" s="1"/>
  <c r="H12" i="6"/>
  <c r="L6" i="1" s="1"/>
  <c r="I7" i="1"/>
  <c r="G6" i="6" s="1"/>
  <c r="H6" i="6" s="1"/>
  <c r="G12" i="6" s="1"/>
  <c r="I12" i="6" l="1"/>
  <c r="L8" i="1" s="1"/>
  <c r="L3" i="1" s="1"/>
  <c r="L5" i="1"/>
</calcChain>
</file>

<file path=xl/sharedStrings.xml><?xml version="1.0" encoding="utf-8"?>
<sst xmlns="http://schemas.openxmlformats.org/spreadsheetml/2006/main" count="213" uniqueCount="115">
  <si>
    <t>チーム名</t>
    <rPh sb="3" eb="4">
      <t>メイ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</si>
  <si>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</si>
  <si>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</si>
  <si>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</si>
  <si>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</si>
  <si>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区間</t>
    <rPh sb="0" eb="2">
      <t>クカン</t>
    </rPh>
    <phoneticPr fontId="1"/>
  </si>
  <si>
    <t>ランナー</t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</si>
  <si>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</si>
  <si>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</si>
  <si>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申込み年月日</t>
    <rPh sb="0" eb="1">
      <t>モウ</t>
    </rPh>
    <rPh sb="1" eb="2">
      <t>コ</t>
    </rPh>
    <rPh sb="3" eb="6">
      <t>ネンガッピ</t>
    </rPh>
    <phoneticPr fontId="1"/>
  </si>
  <si>
    <t>チーム番号</t>
    <rPh sb="3" eb="5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</si>
  <si>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</si>
  <si>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記入例</t>
    <rPh sb="0" eb="2">
      <t>キニュウ</t>
    </rPh>
    <rPh sb="2" eb="3">
      <t>レイ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</si>
  <si>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氏名</t>
    </r>
    <rPh sb="7" eb="9">
      <t>シメイ</t>
    </rPh>
    <phoneticPr fontId="1"/>
  </si>
  <si>
    <t>チーム代表者</t>
    <rPh sb="3" eb="5">
      <t>ダイヒョウ</t>
    </rPh>
    <rPh sb="5" eb="6">
      <t>シャ</t>
    </rPh>
    <phoneticPr fontId="1"/>
  </si>
  <si>
    <t>区分</t>
    <rPh sb="0" eb="2">
      <t>クブン</t>
    </rPh>
    <phoneticPr fontId="1"/>
  </si>
  <si>
    <t>所属／職</t>
    <rPh sb="0" eb="2">
      <t>ショゾク</t>
    </rPh>
    <rPh sb="3" eb="4">
      <t>ショク</t>
    </rPh>
    <phoneticPr fontId="1"/>
  </si>
  <si>
    <t>総年齢</t>
    <rPh sb="0" eb="1">
      <t>ソウ</t>
    </rPh>
    <rPh sb="1" eb="3">
      <t>ネンレイ</t>
    </rPh>
    <phoneticPr fontId="1"/>
  </si>
  <si>
    <t>補欠</t>
    <rPh sb="0" eb="2">
      <t>ホケツ</t>
    </rPh>
    <phoneticPr fontId="1"/>
  </si>
  <si>
    <t>性別　</t>
    <rPh sb="0" eb="2">
      <t>セイベツ</t>
    </rPh>
    <phoneticPr fontId="1"/>
  </si>
  <si>
    <t>男　</t>
    <rPh sb="0" eb="1">
      <t>オトコ</t>
    </rPh>
    <phoneticPr fontId="1"/>
  </si>
  <si>
    <t>区分</t>
    <rPh sb="0" eb="2">
      <t>クブン</t>
    </rPh>
    <phoneticPr fontId="1"/>
  </si>
  <si>
    <t>数</t>
    <rPh sb="0" eb="1">
      <t>カズ</t>
    </rPh>
    <phoneticPr fontId="1"/>
  </si>
  <si>
    <t>表の管理</t>
    <rPh sb="0" eb="1">
      <t>ヒョウ</t>
    </rPh>
    <rPh sb="2" eb="4">
      <t>カンリ</t>
    </rPh>
    <phoneticPr fontId="1"/>
  </si>
  <si>
    <t>1走目</t>
    <rPh sb="1" eb="2">
      <t>ソウ</t>
    </rPh>
    <rPh sb="2" eb="3">
      <t>メ</t>
    </rPh>
    <phoneticPr fontId="1"/>
  </si>
  <si>
    <t>2走目</t>
    <rPh sb="1" eb="2">
      <t>ソウ</t>
    </rPh>
    <rPh sb="2" eb="3">
      <t>メ</t>
    </rPh>
    <phoneticPr fontId="1"/>
  </si>
  <si>
    <t>3走目</t>
    <rPh sb="1" eb="2">
      <t>ソウ</t>
    </rPh>
    <rPh sb="2" eb="3">
      <t>メ</t>
    </rPh>
    <phoneticPr fontId="1"/>
  </si>
  <si>
    <t>4走目</t>
    <rPh sb="1" eb="2">
      <t>ソウ</t>
    </rPh>
    <rPh sb="2" eb="3">
      <t>メ</t>
    </rPh>
    <phoneticPr fontId="1"/>
  </si>
  <si>
    <t>5走目</t>
    <rPh sb="1" eb="2">
      <t>ソウ</t>
    </rPh>
    <rPh sb="2" eb="3">
      <t>メ</t>
    </rPh>
    <phoneticPr fontId="1"/>
  </si>
  <si>
    <t>6走目</t>
    <rPh sb="1" eb="2">
      <t>ソウ</t>
    </rPh>
    <rPh sb="2" eb="3">
      <t>メ</t>
    </rPh>
    <phoneticPr fontId="1"/>
  </si>
  <si>
    <t>年齢（１</t>
    <rPh sb="0" eb="2">
      <t>ネンレイ</t>
    </rPh>
    <phoneticPr fontId="1"/>
  </si>
  <si>
    <t>性別</t>
    <rPh sb="0" eb="2">
      <t>セイベツ</t>
    </rPh>
    <phoneticPr fontId="1"/>
  </si>
  <si>
    <t xml:space="preserve">Regulation </t>
    <phoneticPr fontId="1"/>
  </si>
  <si>
    <t>年齢</t>
    <rPh sb="0" eb="2">
      <t>ネンレイ</t>
    </rPh>
    <phoneticPr fontId="1"/>
  </si>
  <si>
    <t>[P]</t>
  </si>
  <si>
    <t>[P]</t>
    <phoneticPr fontId="1"/>
  </si>
  <si>
    <t>[R]</t>
    <phoneticPr fontId="1"/>
  </si>
  <si>
    <t>[A]</t>
    <phoneticPr fontId="1"/>
  </si>
  <si>
    <t>[A]の場合</t>
    <rPh sb="4" eb="6">
      <t>バアイ</t>
    </rPh>
    <phoneticPr fontId="1"/>
  </si>
  <si>
    <t>[R]の場合</t>
    <rPh sb="4" eb="6">
      <t>バアイ</t>
    </rPh>
    <phoneticPr fontId="1"/>
  </si>
  <si>
    <t>操作方法</t>
    <rPh sb="0" eb="4">
      <t>ソウサホウホウ</t>
    </rPh>
    <phoneticPr fontId="1"/>
  </si>
  <si>
    <t>移動方法</t>
    <rPh sb="0" eb="4">
      <t>イドウホウホウ</t>
    </rPh>
    <phoneticPr fontId="1"/>
  </si>
  <si>
    <t>車輪</t>
    <rPh sb="0" eb="2">
      <t>シャリン</t>
    </rPh>
    <phoneticPr fontId="1"/>
  </si>
  <si>
    <t>2足歩行</t>
    <rPh sb="1" eb="2">
      <t>ソク</t>
    </rPh>
    <rPh sb="2" eb="4">
      <t>ホコウ</t>
    </rPh>
    <phoneticPr fontId="1"/>
  </si>
  <si>
    <t>カウント</t>
    <phoneticPr fontId="1"/>
  </si>
  <si>
    <t>区間</t>
  </si>
  <si>
    <t>[A}の伴走者</t>
    <rPh sb="4" eb="7">
      <t>バンソウシャ</t>
    </rPh>
    <phoneticPr fontId="1"/>
  </si>
  <si>
    <t>[R]の伴走者</t>
    <rPh sb="4" eb="7">
      <t>バンソウシャ</t>
    </rPh>
    <phoneticPr fontId="1"/>
  </si>
  <si>
    <t>[R]の操縦者</t>
    <rPh sb="4" eb="7">
      <t>ソウジュウシャ</t>
    </rPh>
    <phoneticPr fontId="1"/>
  </si>
  <si>
    <t>位置</t>
    <rPh sb="0" eb="2">
      <t>イチ</t>
    </rPh>
    <phoneticPr fontId="1"/>
  </si>
  <si>
    <t>区間</t>
    <rPh sb="0" eb="2">
      <t>クカン</t>
    </rPh>
    <phoneticPr fontId="1"/>
  </si>
  <si>
    <t>※ 青い部分のみ記入してください</t>
    <rPh sb="2" eb="3">
      <t>アオ</t>
    </rPh>
    <rPh sb="4" eb="6">
      <t>ブブン</t>
    </rPh>
    <rPh sb="8" eb="10">
      <t>キニュウ</t>
    </rPh>
    <phoneticPr fontId="1"/>
  </si>
  <si>
    <r>
      <t xml:space="preserve">   </t>
    </r>
    <r>
      <rPr>
        <b/>
        <sz val="14"/>
        <color rgb="FFFF0000"/>
        <rFont val="ＭＳ Ｐゴシック"/>
        <family val="3"/>
        <charset val="128"/>
        <scheme val="minor"/>
      </rPr>
      <t>※ [P]・・・Person(人間）  [R]・・・Robot（ロボット）  [A]・・・Animal（動物）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Ph sb="18" eb="20">
      <t>ニンゲン</t>
    </rPh>
    <rPh sb="55" eb="57">
      <t>ドウブツ</t>
    </rPh>
    <phoneticPr fontId="1"/>
  </si>
  <si>
    <t>アドバンテージ計算</t>
    <rPh sb="7" eb="9">
      <t>ケイサン</t>
    </rPh>
    <phoneticPr fontId="1"/>
  </si>
  <si>
    <t>年齢アドバンテージ</t>
    <rPh sb="0" eb="2">
      <t>ネンレイ</t>
    </rPh>
    <phoneticPr fontId="1"/>
  </si>
  <si>
    <t>アドバンテージ合計</t>
    <rPh sb="7" eb="9">
      <t>ゴウケイ</t>
    </rPh>
    <phoneticPr fontId="1"/>
  </si>
  <si>
    <t>年齢アドバンテージ</t>
    <rPh sb="0" eb="2">
      <t>ネンレイ</t>
    </rPh>
    <phoneticPr fontId="1"/>
  </si>
  <si>
    <t>年齢しきい値</t>
    <rPh sb="0" eb="2">
      <t>ネンレイ</t>
    </rPh>
    <rPh sb="5" eb="6">
      <t>チ</t>
    </rPh>
    <phoneticPr fontId="1"/>
  </si>
  <si>
    <t>[P]アドバンテージ（秒）</t>
    <rPh sb="11" eb="12">
      <t>ビョウ</t>
    </rPh>
    <phoneticPr fontId="1"/>
  </si>
  <si>
    <t>総合アドバンテージ（秒）</t>
    <rPh sb="0" eb="2">
      <t>ソウゴウ</t>
    </rPh>
    <phoneticPr fontId="1"/>
  </si>
  <si>
    <t>アニマル</t>
    <phoneticPr fontId="1"/>
  </si>
  <si>
    <t>[A]アドバンテージ（秒）</t>
    <phoneticPr fontId="1"/>
  </si>
  <si>
    <t>[R]アドバンテージ（秒）</t>
    <phoneticPr fontId="1"/>
  </si>
  <si>
    <t>体高</t>
    <phoneticPr fontId="1"/>
  </si>
  <si>
    <t>体高</t>
    <rPh sb="0" eb="2">
      <t>タイコウ</t>
    </rPh>
    <phoneticPr fontId="1"/>
  </si>
  <si>
    <t>40cm以上50cm未満</t>
    <phoneticPr fontId="1"/>
  </si>
  <si>
    <t>30cm以上40cm未満</t>
    <phoneticPr fontId="1"/>
  </si>
  <si>
    <t>30cm未満　</t>
    <phoneticPr fontId="1"/>
  </si>
  <si>
    <t>動物アドバンテージ</t>
    <rPh sb="0" eb="2">
      <t>ドウブツ</t>
    </rPh>
    <phoneticPr fontId="1"/>
  </si>
  <si>
    <t>ロボット1</t>
    <phoneticPr fontId="1"/>
  </si>
  <si>
    <t>ロボット2</t>
  </si>
  <si>
    <t>ロボットアドバンテージ</t>
    <phoneticPr fontId="1"/>
  </si>
  <si>
    <t>操作方法1</t>
    <rPh sb="0" eb="4">
      <t>ソウサホウホウ</t>
    </rPh>
    <phoneticPr fontId="1"/>
  </si>
  <si>
    <t>操作方法2</t>
    <rPh sb="0" eb="4">
      <t>ソウサホウホウ</t>
    </rPh>
    <phoneticPr fontId="1"/>
  </si>
  <si>
    <t>タイヤ1</t>
    <phoneticPr fontId="1"/>
  </si>
  <si>
    <t>タイヤ2</t>
  </si>
  <si>
    <t>2015年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</si>
  <si>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</si>
  <si>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</si>
  <si>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10月</t>
    <rPh sb="2" eb="3">
      <t>ガツ</t>
    </rPh>
    <phoneticPr fontId="1"/>
  </si>
  <si>
    <t>15日</t>
    <rPh sb="2" eb="3">
      <t>ニチ</t>
    </rPh>
    <phoneticPr fontId="1"/>
  </si>
  <si>
    <t>ひびきのマンモス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</si>
  <si>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</si>
  <si>
    <t>九工大</t>
    <rPh sb="0" eb="1">
      <t>キュウ</t>
    </rPh>
    <rPh sb="1" eb="2">
      <t>コウ</t>
    </rPh>
    <rPh sb="2" eb="3">
      <t>ダイ</t>
    </rPh>
    <phoneticPr fontId="1"/>
  </si>
  <si>
    <t>ひびきの</t>
    <phoneticPr fontId="1"/>
  </si>
  <si>
    <t>090-****-****</t>
    <phoneticPr fontId="1"/>
  </si>
  <si>
    <t>***＠***</t>
    <phoneticPr fontId="1"/>
  </si>
  <si>
    <t>響　桃子</t>
    <rPh sb="0" eb="1">
      <t>ヒビキ</t>
    </rPh>
    <rPh sb="2" eb="4">
      <t>モモコ</t>
    </rPh>
    <phoneticPr fontId="1"/>
  </si>
  <si>
    <t>主婦</t>
    <rPh sb="0" eb="2">
      <t>シュフ</t>
    </rPh>
    <phoneticPr fontId="1"/>
  </si>
  <si>
    <t>アシモフ一号</t>
    <rPh sb="4" eb="6">
      <t>イチゴウ</t>
    </rPh>
    <phoneticPr fontId="1"/>
  </si>
  <si>
    <t>**大</t>
    <rPh sb="2" eb="3">
      <t>ダイ</t>
    </rPh>
    <phoneticPr fontId="1"/>
  </si>
  <si>
    <t>響　梅子</t>
    <rPh sb="0" eb="1">
      <t>ヒビキ</t>
    </rPh>
    <rPh sb="2" eb="4">
      <t>ウメコ</t>
    </rPh>
    <phoneticPr fontId="1"/>
  </si>
  <si>
    <t>九州　次郎</t>
    <rPh sb="0" eb="2">
      <t>キュウシュウ</t>
    </rPh>
    <rPh sb="3" eb="5">
      <t>ジロウ</t>
    </rPh>
    <phoneticPr fontId="1"/>
  </si>
  <si>
    <t>○×工業</t>
    <rPh sb="2" eb="4">
      <t>コウギョウ</t>
    </rPh>
    <phoneticPr fontId="1"/>
  </si>
  <si>
    <t>ワンタ</t>
    <phoneticPr fontId="1"/>
  </si>
  <si>
    <t>□家</t>
    <rPh sb="1" eb="2">
      <t>イエ</t>
    </rPh>
    <phoneticPr fontId="1"/>
  </si>
  <si>
    <t>[A]</t>
  </si>
  <si>
    <t>[R]</t>
  </si>
  <si>
    <t>30cm以上40cm未満</t>
  </si>
  <si>
    <t>足立　基之</t>
    <rPh sb="0" eb="2">
      <t>アダチ</t>
    </rPh>
    <rPh sb="3" eb="5">
      <t>モトユキ</t>
    </rPh>
    <phoneticPr fontId="1"/>
  </si>
  <si>
    <t>浦　ロボ子</t>
    <rPh sb="0" eb="1">
      <t>ウラ</t>
    </rPh>
    <rPh sb="4" eb="5">
      <t>コ</t>
    </rPh>
    <phoneticPr fontId="1"/>
  </si>
  <si>
    <t>犬塚　竹子</t>
    <rPh sb="0" eb="1">
      <t>イヌ</t>
    </rPh>
    <rPh sb="1" eb="2">
      <t>ツカ</t>
    </rPh>
    <rPh sb="3" eb="5">
      <t>タケコ</t>
    </rPh>
    <phoneticPr fontId="1"/>
  </si>
  <si>
    <t>▲□農園</t>
    <rPh sb="2" eb="4">
      <t>ノウエン</t>
    </rPh>
    <phoneticPr fontId="1"/>
  </si>
  <si>
    <t>* プルダウンメニューです。</t>
  </si>
  <si>
    <t>年齢</t>
  </si>
  <si>
    <t>一般名</t>
  </si>
  <si>
    <t>移動方式</t>
  </si>
  <si>
    <t>性別　*</t>
  </si>
  <si>
    <t>体高　*</t>
  </si>
  <si>
    <t>移動方式　*</t>
  </si>
  <si>
    <t>操作方法*</t>
  </si>
  <si>
    <t>3足以上</t>
    <rPh sb="1" eb="2">
      <t>ソク</t>
    </rPh>
    <rPh sb="2" eb="4">
      <t>イジョウ</t>
    </rPh>
    <phoneticPr fontId="1"/>
  </si>
  <si>
    <t>自律</t>
    <rPh sb="0" eb="2">
      <t>ジリツ</t>
    </rPh>
    <phoneticPr fontId="1"/>
  </si>
  <si>
    <t>リモート操作</t>
    <rPh sb="4" eb="6">
      <t>ソウサ</t>
    </rPh>
    <phoneticPr fontId="1"/>
  </si>
  <si>
    <t>第三回学研ヒルズ学際駅伝大会 参加申込書</t>
    <rPh sb="1" eb="2">
      <t>サン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</si>
</sst>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2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45" xfId="0" applyBorder="1">
      <alignment vertical="center"/>
    </xf>
    <xf numFmtId="0" fontId="0" fillId="2" borderId="41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41" xfId="0" applyFill="1" applyBorder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1" xfId="0" applyFill="1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0" fillId="2" borderId="7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4" borderId="34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44" xfId="0" applyFill="1" applyBorder="1">
      <alignment vertical="center"/>
    </xf>
    <xf numFmtId="0" fontId="0" fillId="4" borderId="42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7" xfId="0" applyFill="1" applyBorder="1" applyProtection="1">
      <alignment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0" fillId="4" borderId="35" xfId="0" applyFill="1" applyBorder="1">
      <alignment vertical="center"/>
    </xf>
    <xf numFmtId="0" fontId="0" fillId="4" borderId="43" xfId="0" applyFill="1" applyBorder="1" applyProtection="1">
      <alignment vertical="center"/>
      <protection locked="0"/>
    </xf>
    <xf numFmtId="0" fontId="0" fillId="4" borderId="44" xfId="0" applyFill="1" applyBorder="1" applyProtection="1">
      <alignment vertical="center"/>
      <protection locked="0"/>
    </xf>
    <xf numFmtId="0" fontId="0" fillId="4" borderId="45" xfId="0" applyFill="1" applyBorder="1">
      <alignment vertical="center"/>
    </xf>
    <xf numFmtId="0" fontId="0" fillId="5" borderId="60" xfId="0" applyFill="1" applyBorder="1" applyAlignment="1" applyProtection="1">
      <alignment horizontal="center" vertical="center"/>
    </xf>
    <xf numFmtId="0" fontId="0" fillId="5" borderId="45" xfId="0" applyFill="1" applyBorder="1" applyAlignment="1" applyProtection="1">
      <alignment horizontal="center" vertical="center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34" xfId="0" applyFill="1" applyBorder="1">
      <alignment vertical="center"/>
    </xf>
    <xf numFmtId="0" fontId="0" fillId="5" borderId="39" xfId="0" applyFill="1" applyBorder="1">
      <alignment vertical="center"/>
    </xf>
    <xf numFmtId="0" fontId="0" fillId="5" borderId="44" xfId="0" applyFill="1" applyBorder="1">
      <alignment vertical="center"/>
    </xf>
    <xf numFmtId="0" fontId="0" fillId="5" borderId="34" xfId="0" applyNumberFormat="1" applyFill="1" applyBorder="1" applyAlignment="1">
      <alignment horizontal="right" vertical="center"/>
    </xf>
    <xf numFmtId="0" fontId="0" fillId="5" borderId="39" xfId="0" applyNumberFormat="1" applyFill="1" applyBorder="1" applyAlignment="1">
      <alignment horizontal="right" vertical="center"/>
    </xf>
    <xf numFmtId="0" fontId="0" fillId="5" borderId="44" xfId="0" applyNumberFormat="1" applyFill="1" applyBorder="1" applyAlignment="1">
      <alignment horizontal="right" vertical="center"/>
    </xf>
    <xf numFmtId="0" fontId="0" fillId="5" borderId="47" xfId="0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2" borderId="35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4" xfId="0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56</xdr:row>
      <xdr:rowOff>78440</xdr:rowOff>
    </xdr:from>
    <xdr:ext cx="67845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1795" y="19610293"/>
          <a:ext cx="678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アシモフ</a:t>
          </a:r>
        </a:p>
      </xdr:txBody>
    </xdr:sp>
    <xdr:clientData/>
  </xdr:oneCellAnchor>
  <xdr:oneCellAnchor>
    <xdr:from>
      <xdr:col>1</xdr:col>
      <xdr:colOff>443753</xdr:colOff>
      <xdr:row>51</xdr:row>
      <xdr:rowOff>51545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7312" y="179809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432548</xdr:colOff>
      <xdr:row>51</xdr:row>
      <xdr:rowOff>51545</xdr:rowOff>
    </xdr:from>
    <xdr:ext cx="547201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6107" y="17980957"/>
          <a:ext cx="5472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ワンタ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="85" zoomScaleNormal="85" workbookViewId="0">
      <selection activeCell="B1" sqref="B1:M1"/>
    </sheetView>
  </sheetViews>
  <sheetFormatPr defaultRowHeight="13.5" x14ac:dyDescent="0.15"/>
  <cols>
    <col min="2" max="2" width="5.875" customWidth="1"/>
    <col min="3" max="3" width="9" style="2" bestFit="1" customWidth="1"/>
    <col min="4" max="4" width="19.25" customWidth="1"/>
    <col min="5" max="5" width="21.375" customWidth="1"/>
    <col min="6" max="6" width="17.875" customWidth="1"/>
    <col min="7" max="7" width="8.875" bestFit="1" customWidth="1"/>
    <col min="8" max="8" width="20.125" bestFit="1" customWidth="1"/>
    <col min="9" max="9" width="23.125" customWidth="1"/>
    <col min="10" max="10" width="14.625" customWidth="1"/>
    <col min="11" max="11" width="10.75" bestFit="1" customWidth="1"/>
    <col min="12" max="12" width="18.625" customWidth="1"/>
    <col min="13" max="13" width="11.125" customWidth="1"/>
    <col min="14" max="15" width="9" customWidth="1"/>
  </cols>
  <sheetData>
    <row r="1" spans="1:13" ht="45" customHeight="1" thickBot="1" x14ac:dyDescent="0.2">
      <c r="B1" s="135" t="s">
        <v>114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1" customHeight="1" thickBot="1" x14ac:dyDescent="0.2">
      <c r="B2" s="10" t="s">
        <v>9</v>
      </c>
      <c r="C2" s="55"/>
      <c r="D2" s="58" t="s">
        <v>76</v>
      </c>
      <c r="E2" s="59" t="s">
        <v>77</v>
      </c>
      <c r="F2" s="60" t="s">
        <v>78</v>
      </c>
      <c r="H2" s="57" t="s">
        <v>51</v>
      </c>
    </row>
    <row r="3" spans="1:13" ht="21" customHeight="1" thickBot="1" x14ac:dyDescent="0.2">
      <c r="B3" s="11" t="s">
        <v>0</v>
      </c>
      <c r="C3" s="12"/>
      <c r="D3" s="138"/>
      <c r="E3" s="121"/>
      <c r="F3" s="122"/>
      <c r="J3" s="136" t="s">
        <v>32</v>
      </c>
      <c r="K3" s="137"/>
      <c r="L3" s="86" t="str">
        <f>IF(AND(計算１!F8&lt;=2,計算１!F9&lt;=2,L8=アドバンテージ表!I12),"RegulationClear","RegulationError")</f>
        <v>RegulationClear</v>
      </c>
    </row>
    <row r="4" spans="1:13" ht="21" customHeight="1" thickBot="1" x14ac:dyDescent="0.2">
      <c r="B4" s="123" t="s">
        <v>14</v>
      </c>
      <c r="C4" s="124"/>
      <c r="D4" s="13" t="s">
        <v>8</v>
      </c>
      <c r="E4" s="129"/>
      <c r="F4" s="130"/>
    </row>
    <row r="5" spans="1:13" ht="21" customHeight="1" x14ac:dyDescent="0.15">
      <c r="B5" s="125"/>
      <c r="C5" s="126"/>
      <c r="D5" s="14" t="s">
        <v>1</v>
      </c>
      <c r="E5" s="131"/>
      <c r="F5" s="132"/>
      <c r="H5" s="17" t="s">
        <v>11</v>
      </c>
      <c r="I5" s="80"/>
      <c r="J5" s="63" t="s">
        <v>58</v>
      </c>
      <c r="K5" s="35"/>
      <c r="L5" s="83">
        <f>アドバンテージ表!G12</f>
        <v>0</v>
      </c>
    </row>
    <row r="6" spans="1:13" ht="21" customHeight="1" x14ac:dyDescent="0.15">
      <c r="B6" s="125"/>
      <c r="C6" s="126"/>
      <c r="D6" s="14" t="s">
        <v>2</v>
      </c>
      <c r="E6" s="131"/>
      <c r="F6" s="132"/>
      <c r="H6" s="19" t="s">
        <v>10</v>
      </c>
      <c r="I6" s="81"/>
      <c r="J6" s="64" t="s">
        <v>62</v>
      </c>
      <c r="K6" s="36"/>
      <c r="L6" s="84">
        <f>アドバンテージ表!H12</f>
        <v>0</v>
      </c>
    </row>
    <row r="7" spans="1:13" ht="21" customHeight="1" thickBot="1" x14ac:dyDescent="0.2">
      <c r="B7" s="125"/>
      <c r="C7" s="126"/>
      <c r="D7" s="14" t="s">
        <v>3</v>
      </c>
      <c r="E7" s="131"/>
      <c r="F7" s="132"/>
      <c r="H7" s="20" t="s">
        <v>17</v>
      </c>
      <c r="I7" s="82">
        <f>SUM(計算１!B18:B23,計算１!B25:B26,計算１!B28:B29)</f>
        <v>0</v>
      </c>
      <c r="J7" s="64" t="s">
        <v>61</v>
      </c>
      <c r="K7" s="36"/>
      <c r="L7" s="84">
        <f>アドバンテージ表!F12</f>
        <v>0</v>
      </c>
    </row>
    <row r="8" spans="1:13" ht="21" customHeight="1" thickBot="1" x14ac:dyDescent="0.2">
      <c r="B8" s="127"/>
      <c r="C8" s="128"/>
      <c r="D8" s="15" t="s">
        <v>4</v>
      </c>
      <c r="E8" s="133"/>
      <c r="F8" s="134"/>
      <c r="J8" s="62" t="s">
        <v>59</v>
      </c>
      <c r="K8" s="61"/>
      <c r="L8" s="85">
        <f>アドバンテージ表!I12</f>
        <v>0</v>
      </c>
    </row>
    <row r="9" spans="1:13" ht="14.25" thickBot="1" x14ac:dyDescent="0.2"/>
    <row r="10" spans="1:13" s="1" customFormat="1" ht="29.25" customHeight="1" x14ac:dyDescent="0.15">
      <c r="A10" s="2"/>
      <c r="B10" s="100" t="s">
        <v>5</v>
      </c>
      <c r="C10" s="100" t="s">
        <v>107</v>
      </c>
      <c r="D10" s="105" t="s">
        <v>6</v>
      </c>
      <c r="E10" s="106"/>
      <c r="F10" s="107"/>
      <c r="G10" s="118" t="s">
        <v>15</v>
      </c>
      <c r="H10" s="100" t="s">
        <v>5</v>
      </c>
      <c r="I10" s="100" t="s">
        <v>31</v>
      </c>
      <c r="J10" s="108" t="s">
        <v>6</v>
      </c>
      <c r="K10" s="109"/>
      <c r="L10" s="110"/>
      <c r="M10" s="92"/>
    </row>
    <row r="11" spans="1:13" s="1" customFormat="1" ht="27.75" thickBot="1" x14ac:dyDescent="0.2">
      <c r="A11" s="2"/>
      <c r="B11" s="101"/>
      <c r="C11" s="101"/>
      <c r="D11" s="6" t="s">
        <v>13</v>
      </c>
      <c r="E11" s="3" t="s">
        <v>16</v>
      </c>
      <c r="F11" s="4" t="s">
        <v>104</v>
      </c>
      <c r="G11" s="119"/>
      <c r="H11" s="101"/>
      <c r="I11" s="101"/>
      <c r="J11" s="9" t="s">
        <v>13</v>
      </c>
      <c r="K11" s="3" t="s">
        <v>16</v>
      </c>
      <c r="L11" s="8" t="s">
        <v>104</v>
      </c>
      <c r="M11" s="92"/>
    </row>
    <row r="12" spans="1:13" ht="27.75" customHeight="1" x14ac:dyDescent="0.15">
      <c r="B12" s="16">
        <v>1</v>
      </c>
      <c r="C12" s="22" t="s">
        <v>20</v>
      </c>
      <c r="D12" s="23"/>
      <c r="E12" s="24"/>
      <c r="F12" s="25"/>
      <c r="G12" s="32" t="s">
        <v>34</v>
      </c>
      <c r="H12" s="52" t="s">
        <v>18</v>
      </c>
      <c r="I12" s="32"/>
      <c r="J12" s="93"/>
      <c r="K12" s="24"/>
      <c r="L12" s="94"/>
      <c r="M12" s="39"/>
    </row>
    <row r="13" spans="1:13" ht="27.75" customHeight="1" x14ac:dyDescent="0.15">
      <c r="B13" s="18">
        <v>2</v>
      </c>
      <c r="C13" s="26" t="s">
        <v>7</v>
      </c>
      <c r="D13" s="27"/>
      <c r="E13" s="14"/>
      <c r="F13" s="28"/>
      <c r="G13" s="33" t="s">
        <v>34</v>
      </c>
      <c r="H13" s="53" t="s">
        <v>18</v>
      </c>
      <c r="I13" s="33"/>
      <c r="J13" s="95"/>
      <c r="K13" s="14"/>
      <c r="L13" s="96"/>
      <c r="M13" s="39"/>
    </row>
    <row r="14" spans="1:13" ht="27.75" customHeight="1" thickBot="1" x14ac:dyDescent="0.2">
      <c r="B14" s="18">
        <v>3</v>
      </c>
      <c r="C14" s="26" t="s">
        <v>20</v>
      </c>
      <c r="D14" s="27"/>
      <c r="E14" s="29"/>
      <c r="F14" s="28"/>
      <c r="G14" s="33" t="s">
        <v>34</v>
      </c>
      <c r="H14" s="54" t="s">
        <v>18</v>
      </c>
      <c r="I14" s="34"/>
      <c r="J14" s="97"/>
      <c r="K14" s="15"/>
      <c r="L14" s="98"/>
      <c r="M14" s="39"/>
    </row>
    <row r="15" spans="1:13" ht="27.75" customHeight="1" x14ac:dyDescent="0.15">
      <c r="B15" s="18">
        <v>4</v>
      </c>
      <c r="C15" s="26" t="s">
        <v>7</v>
      </c>
      <c r="D15" s="27"/>
      <c r="E15" s="14"/>
      <c r="F15" s="28"/>
      <c r="G15" s="33" t="s">
        <v>34</v>
      </c>
      <c r="H15" s="56"/>
    </row>
    <row r="16" spans="1:13" ht="27.75" customHeight="1" x14ac:dyDescent="0.15">
      <c r="B16" s="18">
        <v>5</v>
      </c>
      <c r="C16" s="26" t="s">
        <v>20</v>
      </c>
      <c r="D16" s="27"/>
      <c r="E16" s="14"/>
      <c r="F16" s="28"/>
      <c r="G16" s="33" t="s">
        <v>34</v>
      </c>
      <c r="I16" s="56" t="s">
        <v>52</v>
      </c>
    </row>
    <row r="17" spans="1:15" s="40" customFormat="1" ht="27.75" customHeight="1" thickBot="1" x14ac:dyDescent="0.2">
      <c r="B17" s="41">
        <v>6</v>
      </c>
      <c r="C17" s="21" t="s">
        <v>7</v>
      </c>
      <c r="D17" s="30"/>
      <c r="E17" s="15"/>
      <c r="F17" s="31"/>
      <c r="G17" s="34" t="s">
        <v>34</v>
      </c>
      <c r="I17" s="91" t="s">
        <v>103</v>
      </c>
    </row>
    <row r="18" spans="1:15" s="39" customFormat="1" ht="27.75" customHeight="1" thickBot="1" x14ac:dyDescent="0.2">
      <c r="C18" s="42"/>
    </row>
    <row r="19" spans="1:15" s="39" customFormat="1" ht="27.75" customHeight="1" x14ac:dyDescent="0.15">
      <c r="B19" s="111" t="s">
        <v>50</v>
      </c>
      <c r="C19" s="113" t="s">
        <v>38</v>
      </c>
      <c r="D19" s="114"/>
      <c r="E19" s="115" t="s">
        <v>46</v>
      </c>
      <c r="F19" s="116"/>
      <c r="G19" s="117"/>
    </row>
    <row r="20" spans="1:15" s="39" customFormat="1" ht="27.75" customHeight="1" thickBot="1" x14ac:dyDescent="0.2">
      <c r="B20" s="112"/>
      <c r="C20" s="44" t="s">
        <v>105</v>
      </c>
      <c r="D20" s="45" t="s">
        <v>108</v>
      </c>
      <c r="E20" s="46" t="s">
        <v>13</v>
      </c>
      <c r="F20" s="47" t="s">
        <v>16</v>
      </c>
      <c r="G20" s="48" t="s">
        <v>104</v>
      </c>
    </row>
    <row r="21" spans="1:15" s="39" customFormat="1" ht="27.75" customHeight="1" x14ac:dyDescent="0.15">
      <c r="B21" s="49" t="str">
        <f>IF(計算１!H24=0,"",計算１!H24)</f>
        <v/>
      </c>
      <c r="C21" s="77" t="str">
        <f>IF(B21="","",IF(INDEX(走者情報,B21,2) = 0,"",INDEX(走者情報,B21,2)))</f>
        <v/>
      </c>
      <c r="D21" s="65"/>
      <c r="E21" s="66"/>
      <c r="F21" s="67"/>
      <c r="G21" s="65"/>
    </row>
    <row r="22" spans="1:15" s="40" customFormat="1" ht="27.75" customHeight="1" thickBot="1" x14ac:dyDescent="0.2">
      <c r="B22" s="41" t="str">
        <f>IF(計算１!H25=0,"",計算１!H25)</f>
        <v/>
      </c>
      <c r="C22" s="78" t="str">
        <f>IF(B22="","",IF(INDEX(走者情報,B22,2) = 0,"",INDEX(走者情報,B22,2)))</f>
        <v/>
      </c>
      <c r="D22" s="68"/>
      <c r="E22" s="69"/>
      <c r="F22" s="70"/>
      <c r="G22" s="68"/>
    </row>
    <row r="23" spans="1:15" ht="27.75" customHeight="1" thickBot="1" x14ac:dyDescent="0.2">
      <c r="D23" s="1"/>
    </row>
    <row r="24" spans="1:15" ht="27.75" customHeight="1" x14ac:dyDescent="0.15">
      <c r="B24" s="100" t="s">
        <v>45</v>
      </c>
      <c r="C24" s="102" t="s">
        <v>39</v>
      </c>
      <c r="D24" s="103"/>
      <c r="E24" s="104"/>
      <c r="F24" s="105" t="s">
        <v>47</v>
      </c>
      <c r="G24" s="106"/>
      <c r="H24" s="107"/>
      <c r="I24" s="105" t="s">
        <v>48</v>
      </c>
      <c r="J24" s="107"/>
    </row>
    <row r="25" spans="1:15" ht="27.75" customHeight="1" thickBot="1" x14ac:dyDescent="0.2">
      <c r="B25" s="101"/>
      <c r="C25" s="38" t="s">
        <v>105</v>
      </c>
      <c r="D25" s="37" t="s">
        <v>109</v>
      </c>
      <c r="E25" s="5" t="s">
        <v>110</v>
      </c>
      <c r="F25" s="6" t="s">
        <v>13</v>
      </c>
      <c r="G25" s="3" t="s">
        <v>16</v>
      </c>
      <c r="H25" s="8" t="s">
        <v>104</v>
      </c>
      <c r="I25" s="9" t="s">
        <v>13</v>
      </c>
      <c r="J25" s="5" t="s">
        <v>16</v>
      </c>
    </row>
    <row r="26" spans="1:15" ht="27.75" customHeight="1" x14ac:dyDescent="0.15">
      <c r="B26" s="51" t="str">
        <f>IF(計算１!O24=0,"",計算１!O24)</f>
        <v/>
      </c>
      <c r="C26" s="79" t="str">
        <f>IF(B26="","",IF(INDEX(走者情報,B26,2) = 0,"",INDEX(走者情報,B26,2)))</f>
        <v/>
      </c>
      <c r="D26" s="71"/>
      <c r="E26" s="72"/>
      <c r="F26" s="66"/>
      <c r="G26" s="67"/>
      <c r="H26" s="65"/>
      <c r="I26" s="73"/>
      <c r="J26" s="65"/>
      <c r="K26" s="7"/>
      <c r="L26" s="7"/>
    </row>
    <row r="27" spans="1:15" ht="27.75" customHeight="1" thickBot="1" x14ac:dyDescent="0.2">
      <c r="B27" s="50" t="str">
        <f>IF(計算１!O25=0,"",計算１!O25)</f>
        <v/>
      </c>
      <c r="C27" s="78" t="str">
        <f>IF(B27="","",IF(INDEX(走者情報,B27,2) = 0,"",INDEX(走者情報,B27,2)))</f>
        <v/>
      </c>
      <c r="D27" s="74"/>
      <c r="E27" s="75"/>
      <c r="F27" s="69"/>
      <c r="G27" s="70"/>
      <c r="H27" s="68"/>
      <c r="I27" s="76"/>
      <c r="J27" s="68"/>
    </row>
    <row r="29" spans="1:15" s="1" customFormat="1" ht="29.25" customHeight="1" x14ac:dyDescent="0.15">
      <c r="A29" s="2"/>
      <c r="B29"/>
      <c r="C29" s="2"/>
      <c r="D29"/>
      <c r="E29"/>
      <c r="F29"/>
      <c r="G29"/>
      <c r="H29"/>
      <c r="I29"/>
      <c r="J29"/>
      <c r="K29"/>
      <c r="L29" s="40"/>
      <c r="M29" s="40"/>
      <c r="N29" s="40"/>
      <c r="O29" s="40"/>
    </row>
    <row r="30" spans="1:15" s="1" customFormat="1" ht="41.25" customHeight="1" x14ac:dyDescent="0.15">
      <c r="A30" s="2"/>
      <c r="B30"/>
      <c r="C30" s="2"/>
      <c r="D30"/>
      <c r="E30"/>
      <c r="F30"/>
      <c r="G30"/>
      <c r="H30"/>
      <c r="I30"/>
      <c r="J30"/>
      <c r="K30"/>
    </row>
    <row r="31" spans="1:15" ht="27.75" customHeight="1" x14ac:dyDescent="0.15">
      <c r="B31" s="90" t="s">
        <v>12</v>
      </c>
    </row>
    <row r="32" spans="1:15" ht="27.75" customHeight="1" thickBot="1" x14ac:dyDescent="0.2"/>
    <row r="33" spans="2:15" ht="27.75" customHeight="1" x14ac:dyDescent="0.15">
      <c r="B33" s="10" t="s">
        <v>9</v>
      </c>
      <c r="C33" s="55"/>
      <c r="D33" s="58" t="s">
        <v>76</v>
      </c>
      <c r="E33" s="59" t="s">
        <v>79</v>
      </c>
      <c r="F33" s="60" t="s">
        <v>80</v>
      </c>
      <c r="G33" s="87"/>
      <c r="H33" s="87"/>
      <c r="I33" s="87"/>
      <c r="J33" s="87"/>
      <c r="K33" s="87"/>
      <c r="L33" s="87"/>
      <c r="M33" s="87"/>
      <c r="N33" s="87"/>
      <c r="O33" s="87"/>
    </row>
    <row r="34" spans="2:15" ht="27.75" customHeight="1" x14ac:dyDescent="0.15">
      <c r="B34" s="11" t="s">
        <v>0</v>
      </c>
      <c r="C34" s="12"/>
      <c r="D34" s="120" t="s">
        <v>81</v>
      </c>
      <c r="E34" s="121"/>
      <c r="F34" s="122"/>
      <c r="G34" s="87"/>
      <c r="H34" s="87"/>
      <c r="I34" s="87"/>
      <c r="J34" s="87"/>
      <c r="K34" s="87"/>
      <c r="L34" s="87"/>
      <c r="M34" s="87"/>
      <c r="N34" s="87"/>
      <c r="O34" s="87"/>
    </row>
    <row r="35" spans="2:15" ht="24" customHeight="1" x14ac:dyDescent="0.15">
      <c r="B35" s="123" t="s">
        <v>14</v>
      </c>
      <c r="C35" s="124"/>
      <c r="D35" s="13" t="s">
        <v>8</v>
      </c>
      <c r="E35" s="129" t="s">
        <v>82</v>
      </c>
      <c r="F35" s="130"/>
      <c r="G35" s="87"/>
      <c r="H35" s="87"/>
      <c r="I35" s="87"/>
      <c r="J35" s="87"/>
      <c r="K35" s="87"/>
      <c r="L35" s="87"/>
      <c r="M35" s="87"/>
      <c r="N35" s="87"/>
      <c r="O35" s="87"/>
    </row>
    <row r="36" spans="2:15" ht="22.5" customHeight="1" x14ac:dyDescent="0.15">
      <c r="B36" s="125"/>
      <c r="C36" s="126"/>
      <c r="D36" s="14" t="s">
        <v>1</v>
      </c>
      <c r="E36" s="131" t="s">
        <v>83</v>
      </c>
      <c r="F36" s="132"/>
      <c r="G36" s="87"/>
      <c r="H36" s="87"/>
      <c r="I36" s="87"/>
      <c r="J36" s="87"/>
      <c r="K36" s="87"/>
      <c r="L36" s="87"/>
      <c r="M36" s="87"/>
      <c r="N36" s="87"/>
      <c r="O36" s="87"/>
    </row>
    <row r="37" spans="2:15" ht="21" customHeight="1" x14ac:dyDescent="0.15">
      <c r="B37" s="125"/>
      <c r="C37" s="126"/>
      <c r="D37" s="14" t="s">
        <v>2</v>
      </c>
      <c r="E37" s="131" t="s">
        <v>84</v>
      </c>
      <c r="F37" s="132"/>
      <c r="G37" s="87"/>
      <c r="H37" s="87"/>
      <c r="I37" s="87"/>
      <c r="J37" s="87"/>
      <c r="K37" s="87"/>
      <c r="L37" s="87"/>
      <c r="M37" s="87"/>
      <c r="N37" s="87"/>
      <c r="O37" s="87"/>
    </row>
    <row r="38" spans="2:15" ht="21.75" customHeight="1" x14ac:dyDescent="0.15">
      <c r="B38" s="125"/>
      <c r="C38" s="126"/>
      <c r="D38" s="14" t="s">
        <v>3</v>
      </c>
      <c r="E38" s="131" t="s">
        <v>85</v>
      </c>
      <c r="F38" s="132"/>
      <c r="G38" s="87"/>
      <c r="H38" s="87"/>
      <c r="I38" s="87"/>
      <c r="J38" s="87"/>
      <c r="K38" s="87"/>
      <c r="L38" s="87"/>
      <c r="M38" s="87"/>
      <c r="N38" s="87"/>
      <c r="O38" s="87"/>
    </row>
    <row r="39" spans="2:15" ht="22.5" customHeight="1" thickBot="1" x14ac:dyDescent="0.2">
      <c r="B39" s="127"/>
      <c r="C39" s="128"/>
      <c r="D39" s="15" t="s">
        <v>4</v>
      </c>
      <c r="E39" s="133" t="s">
        <v>86</v>
      </c>
      <c r="F39" s="134"/>
      <c r="G39" s="87"/>
      <c r="H39" s="87"/>
      <c r="I39" s="87"/>
      <c r="J39" s="87"/>
      <c r="K39" s="87"/>
      <c r="L39" s="87"/>
      <c r="M39" s="87"/>
      <c r="N39" s="87"/>
      <c r="O39" s="87"/>
    </row>
    <row r="40" spans="2:15" ht="14.25" thickBot="1" x14ac:dyDescent="0.2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2:15" x14ac:dyDescent="0.15">
      <c r="B41" s="100" t="s">
        <v>5</v>
      </c>
      <c r="C41" s="100" t="s">
        <v>31</v>
      </c>
      <c r="D41" s="105" t="s">
        <v>6</v>
      </c>
      <c r="E41" s="106"/>
      <c r="F41" s="107"/>
      <c r="G41" s="118" t="s">
        <v>15</v>
      </c>
      <c r="H41" s="100" t="s">
        <v>5</v>
      </c>
      <c r="I41" s="100" t="s">
        <v>31</v>
      </c>
      <c r="J41" s="108" t="s">
        <v>6</v>
      </c>
      <c r="K41" s="109"/>
      <c r="L41" s="110"/>
      <c r="M41" s="99"/>
    </row>
    <row r="42" spans="2:15" ht="27.75" thickBot="1" x14ac:dyDescent="0.2">
      <c r="B42" s="101"/>
      <c r="C42" s="101"/>
      <c r="D42" s="6" t="s">
        <v>13</v>
      </c>
      <c r="E42" s="3" t="s">
        <v>16</v>
      </c>
      <c r="F42" s="4" t="s">
        <v>30</v>
      </c>
      <c r="G42" s="119"/>
      <c r="H42" s="101"/>
      <c r="I42" s="101"/>
      <c r="J42" s="9" t="s">
        <v>13</v>
      </c>
      <c r="K42" s="3" t="s">
        <v>16</v>
      </c>
      <c r="L42" s="8" t="s">
        <v>104</v>
      </c>
      <c r="M42" s="92"/>
    </row>
    <row r="43" spans="2:15" ht="30" customHeight="1" x14ac:dyDescent="0.15">
      <c r="B43" s="16">
        <v>1</v>
      </c>
      <c r="C43" s="22" t="s">
        <v>20</v>
      </c>
      <c r="D43" s="23" t="s">
        <v>82</v>
      </c>
      <c r="E43" s="88" t="s">
        <v>83</v>
      </c>
      <c r="F43" s="25">
        <v>20</v>
      </c>
      <c r="G43" s="32" t="s">
        <v>34</v>
      </c>
      <c r="H43" s="52" t="s">
        <v>18</v>
      </c>
      <c r="I43" s="32"/>
      <c r="J43" s="93"/>
      <c r="K43" s="24"/>
      <c r="L43" s="94"/>
      <c r="M43" s="39"/>
    </row>
    <row r="44" spans="2:15" ht="33" customHeight="1" x14ac:dyDescent="0.15">
      <c r="B44" s="18">
        <v>2</v>
      </c>
      <c r="C44" s="26" t="s">
        <v>7</v>
      </c>
      <c r="D44" s="27" t="s">
        <v>87</v>
      </c>
      <c r="E44" s="29" t="s">
        <v>88</v>
      </c>
      <c r="F44" s="28">
        <v>35</v>
      </c>
      <c r="G44" s="33" t="s">
        <v>34</v>
      </c>
      <c r="H44" s="53" t="s">
        <v>18</v>
      </c>
      <c r="I44" s="33"/>
      <c r="J44" s="95"/>
      <c r="K44" s="14"/>
      <c r="L44" s="96"/>
      <c r="M44" s="39"/>
    </row>
    <row r="45" spans="2:15" ht="30" customHeight="1" thickBot="1" x14ac:dyDescent="0.2">
      <c r="B45" s="18">
        <v>3</v>
      </c>
      <c r="C45" s="26" t="s">
        <v>20</v>
      </c>
      <c r="D45" s="27" t="s">
        <v>89</v>
      </c>
      <c r="E45" s="29" t="s">
        <v>90</v>
      </c>
      <c r="F45" s="28"/>
      <c r="G45" s="33" t="s">
        <v>97</v>
      </c>
      <c r="H45" s="54" t="s">
        <v>18</v>
      </c>
      <c r="I45" s="34"/>
      <c r="J45" s="97"/>
      <c r="K45" s="15"/>
      <c r="L45" s="98"/>
      <c r="M45" s="39"/>
    </row>
    <row r="46" spans="2:15" ht="32.25" customHeight="1" x14ac:dyDescent="0.15">
      <c r="B46" s="18">
        <v>4</v>
      </c>
      <c r="C46" s="26" t="s">
        <v>7</v>
      </c>
      <c r="D46" s="27" t="s">
        <v>91</v>
      </c>
      <c r="E46" s="29" t="s">
        <v>83</v>
      </c>
      <c r="F46" s="28">
        <v>23</v>
      </c>
      <c r="G46" s="33" t="s">
        <v>34</v>
      </c>
      <c r="H46" s="56"/>
    </row>
    <row r="47" spans="2:15" ht="34.5" customHeight="1" x14ac:dyDescent="0.15">
      <c r="B47" s="18">
        <v>5</v>
      </c>
      <c r="C47" s="26" t="s">
        <v>20</v>
      </c>
      <c r="D47" s="27" t="s">
        <v>92</v>
      </c>
      <c r="E47" s="29" t="s">
        <v>93</v>
      </c>
      <c r="F47" s="28">
        <v>50</v>
      </c>
      <c r="G47" s="33" t="s">
        <v>34</v>
      </c>
      <c r="H47" s="56"/>
      <c r="I47" s="56" t="s">
        <v>52</v>
      </c>
    </row>
    <row r="48" spans="2:15" ht="36.75" customHeight="1" thickBot="1" x14ac:dyDescent="0.2">
      <c r="B48" s="41">
        <v>6</v>
      </c>
      <c r="C48" s="21" t="s">
        <v>7</v>
      </c>
      <c r="D48" s="30" t="s">
        <v>94</v>
      </c>
      <c r="E48" s="89" t="s">
        <v>95</v>
      </c>
      <c r="F48" s="31"/>
      <c r="G48" s="34" t="s">
        <v>96</v>
      </c>
      <c r="H48" s="40"/>
      <c r="I48" s="91" t="s">
        <v>103</v>
      </c>
      <c r="J48" s="40"/>
      <c r="K48" s="40"/>
      <c r="L48" s="40"/>
      <c r="M48" s="40"/>
    </row>
    <row r="49" spans="2:10" ht="14.25" thickBot="1" x14ac:dyDescent="0.2"/>
    <row r="50" spans="2:10" ht="31.5" customHeight="1" x14ac:dyDescent="0.15">
      <c r="B50" s="111" t="s">
        <v>5</v>
      </c>
      <c r="C50" s="113" t="s">
        <v>38</v>
      </c>
      <c r="D50" s="114"/>
      <c r="E50" s="115" t="s">
        <v>46</v>
      </c>
      <c r="F50" s="116"/>
      <c r="G50" s="117"/>
      <c r="H50" s="43"/>
      <c r="I50" s="39"/>
      <c r="J50" s="39"/>
    </row>
    <row r="51" spans="2:10" ht="27.75" thickBot="1" x14ac:dyDescent="0.2">
      <c r="B51" s="112"/>
      <c r="C51" s="44" t="s">
        <v>105</v>
      </c>
      <c r="D51" s="45" t="s">
        <v>63</v>
      </c>
      <c r="E51" s="46" t="s">
        <v>13</v>
      </c>
      <c r="F51" s="47" t="s">
        <v>16</v>
      </c>
      <c r="G51" s="48" t="s">
        <v>104</v>
      </c>
      <c r="H51" s="43"/>
      <c r="I51" s="39"/>
      <c r="J51" s="39"/>
    </row>
    <row r="52" spans="2:10" ht="28.5" customHeight="1" x14ac:dyDescent="0.15">
      <c r="B52" s="49" t="str">
        <f>IF(計算１!H61=0,"",計算１!H61)</f>
        <v/>
      </c>
      <c r="C52" s="77"/>
      <c r="D52" s="65" t="s">
        <v>98</v>
      </c>
      <c r="E52" s="66" t="s">
        <v>101</v>
      </c>
      <c r="F52" s="67" t="s">
        <v>102</v>
      </c>
      <c r="G52" s="65">
        <v>40</v>
      </c>
      <c r="H52" s="43"/>
      <c r="I52" s="39"/>
      <c r="J52" s="39"/>
    </row>
    <row r="53" spans="2:10" ht="29.25" customHeight="1" thickBot="1" x14ac:dyDescent="0.2">
      <c r="B53" s="41" t="str">
        <f>IF(計算１!H62=0,"",計算１!H62)</f>
        <v/>
      </c>
      <c r="C53" s="78"/>
      <c r="D53" s="68"/>
      <c r="E53" s="69"/>
      <c r="F53" s="70"/>
      <c r="G53" s="68"/>
      <c r="H53" s="39"/>
      <c r="I53" s="39"/>
      <c r="J53" s="40"/>
    </row>
    <row r="54" spans="2:10" ht="14.25" thickBot="1" x14ac:dyDescent="0.2">
      <c r="D54" s="2"/>
    </row>
    <row r="55" spans="2:10" ht="27.75" customHeight="1" x14ac:dyDescent="0.15">
      <c r="B55" s="100" t="s">
        <v>45</v>
      </c>
      <c r="C55" s="102" t="s">
        <v>39</v>
      </c>
      <c r="D55" s="103"/>
      <c r="E55" s="104"/>
      <c r="F55" s="105" t="s">
        <v>47</v>
      </c>
      <c r="G55" s="106"/>
      <c r="H55" s="107"/>
      <c r="I55" s="105" t="s">
        <v>48</v>
      </c>
      <c r="J55" s="107"/>
    </row>
    <row r="56" spans="2:10" ht="27.75" thickBot="1" x14ac:dyDescent="0.2">
      <c r="B56" s="101"/>
      <c r="C56" s="38" t="s">
        <v>105</v>
      </c>
      <c r="D56" s="37" t="s">
        <v>106</v>
      </c>
      <c r="E56" s="5" t="s">
        <v>40</v>
      </c>
      <c r="F56" s="6" t="s">
        <v>13</v>
      </c>
      <c r="G56" s="3" t="s">
        <v>16</v>
      </c>
      <c r="H56" s="8" t="s">
        <v>104</v>
      </c>
      <c r="I56" s="9" t="s">
        <v>13</v>
      </c>
      <c r="J56" s="5" t="s">
        <v>16</v>
      </c>
    </row>
    <row r="57" spans="2:10" ht="31.5" customHeight="1" x14ac:dyDescent="0.15">
      <c r="B57" s="51" t="str">
        <f>IF(計算１!O61=0,"",計算１!O61)</f>
        <v/>
      </c>
      <c r="C57" s="79"/>
      <c r="D57" s="71" t="s">
        <v>43</v>
      </c>
      <c r="E57" s="72" t="s">
        <v>113</v>
      </c>
      <c r="F57" s="66" t="s">
        <v>99</v>
      </c>
      <c r="G57" s="67" t="s">
        <v>90</v>
      </c>
      <c r="H57" s="65">
        <v>23</v>
      </c>
      <c r="I57" s="73" t="s">
        <v>100</v>
      </c>
      <c r="J57" s="65" t="s">
        <v>90</v>
      </c>
    </row>
    <row r="58" spans="2:10" ht="33.75" customHeight="1" thickBot="1" x14ac:dyDescent="0.2">
      <c r="B58" s="50" t="str">
        <f>IF(計算１!O62=0,"",計算１!O62)</f>
        <v/>
      </c>
      <c r="C58" s="78"/>
      <c r="D58" s="74"/>
      <c r="E58" s="75"/>
      <c r="F58" s="69"/>
      <c r="G58" s="70"/>
      <c r="H58" s="68"/>
      <c r="I58" s="76"/>
      <c r="J58" s="68"/>
    </row>
    <row r="68" spans="2:15" x14ac:dyDescent="0.15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2:15" x14ac:dyDescent="0.15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2:15" x14ac:dyDescent="0.15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</row>
    <row r="71" spans="2:15" x14ac:dyDescent="0.15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</row>
    <row r="72" spans="2:15" x14ac:dyDescent="0.15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</row>
    <row r="73" spans="2:15" x14ac:dyDescent="0.15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</row>
    <row r="74" spans="2:15" x14ac:dyDescent="0.15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</row>
    <row r="75" spans="2:15" x14ac:dyDescent="0.15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</row>
    <row r="76" spans="2:15" x14ac:dyDescent="0.15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</row>
  </sheetData>
  <mergeCells count="44">
    <mergeCell ref="B1:M1"/>
    <mergeCell ref="D10:F10"/>
    <mergeCell ref="E4:F4"/>
    <mergeCell ref="B10:B11"/>
    <mergeCell ref="C10:C11"/>
    <mergeCell ref="G10:G11"/>
    <mergeCell ref="J3:K3"/>
    <mergeCell ref="E5:F5"/>
    <mergeCell ref="E6:F6"/>
    <mergeCell ref="E7:F7"/>
    <mergeCell ref="E8:F8"/>
    <mergeCell ref="D3:F3"/>
    <mergeCell ref="B4:C8"/>
    <mergeCell ref="H10:H11"/>
    <mergeCell ref="I10:I11"/>
    <mergeCell ref="J10:L10"/>
    <mergeCell ref="B19:B20"/>
    <mergeCell ref="B24:B25"/>
    <mergeCell ref="C19:D19"/>
    <mergeCell ref="C24:E24"/>
    <mergeCell ref="E19:G19"/>
    <mergeCell ref="F24:H24"/>
    <mergeCell ref="I24:J24"/>
    <mergeCell ref="D34:F34"/>
    <mergeCell ref="B35:C39"/>
    <mergeCell ref="E35:F35"/>
    <mergeCell ref="E36:F36"/>
    <mergeCell ref="E37:F37"/>
    <mergeCell ref="E38:F38"/>
    <mergeCell ref="E39:F39"/>
    <mergeCell ref="H41:H42"/>
    <mergeCell ref="B55:B56"/>
    <mergeCell ref="C55:E55"/>
    <mergeCell ref="F55:H55"/>
    <mergeCell ref="I55:J55"/>
    <mergeCell ref="I41:I42"/>
    <mergeCell ref="J41:L41"/>
    <mergeCell ref="B50:B51"/>
    <mergeCell ref="C50:D50"/>
    <mergeCell ref="E50:G50"/>
    <mergeCell ref="B41:B42"/>
    <mergeCell ref="C41:C42"/>
    <mergeCell ref="D41:F41"/>
    <mergeCell ref="G41:G42"/>
  </mergeCells>
  <phoneticPr fontId="1"/>
  <dataValidations count="2">
    <dataValidation type="list" allowBlank="1" showInputMessage="1" showErrorMessage="1" sqref="M12:M14 M43:M45" xr:uid="{00000000-0002-0000-0000-000000000000}">
      <formula1>$C$4:$C$5</formula1>
    </dataValidation>
    <dataValidation type="list" allowBlank="1" showInputMessage="1" showErrorMessage="1" sqref="H50:H52" xr:uid="{00000000-0002-0000-0000-000001000000}">
      <formula1>$M$3:$M$4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計算１!$B$4:$B$5</xm:f>
          </x14:formula1>
          <xm:sqref>I12:I14 C12:C18 I43:I45 C43:C48</xm:sqref>
        </x14:dataValidation>
        <x14:dataValidation type="list" allowBlank="1" showInputMessage="1" showErrorMessage="1" xr:uid="{00000000-0002-0000-0000-000003000000}">
          <x14:formula1>
            <xm:f>計算１!$F$3:$F$5</xm:f>
          </x14:formula1>
          <xm:sqref>G12:G18 G43:G48</xm:sqref>
        </x14:dataValidation>
        <x14:dataValidation type="list" allowBlank="1" showInputMessage="1" showErrorMessage="1" xr:uid="{00000000-0002-0000-0000-000004000000}">
          <x14:formula1>
            <xm:f>計算１!$K$3:$K$5</xm:f>
          </x14:formula1>
          <xm:sqref>D26:D27 D57:D58</xm:sqref>
        </x14:dataValidation>
        <x14:dataValidation type="list" allowBlank="1" showInputMessage="1" showErrorMessage="1" xr:uid="{00000000-0002-0000-0000-000005000000}">
          <x14:formula1>
            <xm:f>計算１!$M$3:$M$4</xm:f>
          </x14:formula1>
          <xm:sqref>E26:E27 E57:E58</xm:sqref>
        </x14:dataValidation>
        <x14:dataValidation type="list" allowBlank="1" showInputMessage="1" showErrorMessage="1" xr:uid="{00000000-0002-0000-0000-000006000000}">
          <x14:formula1>
            <xm:f>アドバンテージ表!$A$10:$A$12</xm:f>
          </x14:formula1>
          <xm:sqref>D21:D22 D52:D53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9"/>
  <sheetViews>
    <sheetView zoomScale="85" zoomScaleNormal="85" workbookViewId="0">
      <selection activeCell="B34" sqref="B34"/>
    </sheetView>
  </sheetViews>
  <sheetFormatPr defaultRowHeight="13.5" x14ac:dyDescent="0.15"/>
  <cols>
    <col min="4" max="4" width="18.625" bestFit="1" customWidth="1"/>
  </cols>
  <sheetData>
    <row r="1" spans="2:18" x14ac:dyDescent="0.15">
      <c r="R1" t="s">
        <v>53</v>
      </c>
    </row>
    <row r="2" spans="2:18" x14ac:dyDescent="0.15">
      <c r="B2" t="s">
        <v>19</v>
      </c>
      <c r="D2" t="s">
        <v>23</v>
      </c>
      <c r="F2" t="s">
        <v>21</v>
      </c>
      <c r="H2" t="s">
        <v>33</v>
      </c>
      <c r="K2" t="s">
        <v>41</v>
      </c>
      <c r="M2" t="s">
        <v>40</v>
      </c>
    </row>
    <row r="3" spans="2:18" x14ac:dyDescent="0.15">
      <c r="C3" t="s">
        <v>24</v>
      </c>
      <c r="D3">
        <f>IF(EXACT(Sheet1!C12,"free"),-1,IF(EXACT(Sheet1!C12,"男"),1,0))</f>
        <v>0</v>
      </c>
      <c r="F3" t="s">
        <v>35</v>
      </c>
      <c r="H3">
        <v>1</v>
      </c>
      <c r="I3">
        <f>IF(OR(EXACT($F$4,Sheet1!G12),EXACT(計算１!$F$5,Sheet1!G12)),Sheet1!G21,Sheet1!F12)</f>
        <v>0</v>
      </c>
      <c r="K3" t="s">
        <v>42</v>
      </c>
      <c r="L3">
        <v>0</v>
      </c>
      <c r="M3" t="s">
        <v>113</v>
      </c>
      <c r="N3">
        <v>330</v>
      </c>
      <c r="R3" t="s">
        <v>54</v>
      </c>
    </row>
    <row r="4" spans="2:18" x14ac:dyDescent="0.15">
      <c r="B4" t="s">
        <v>20</v>
      </c>
      <c r="C4" t="s">
        <v>25</v>
      </c>
      <c r="D4">
        <f>IF(EXACT(Sheet1!C13,"free"),-1,IF(EXACT(Sheet1!C13,"男"),1,0))</f>
        <v>0</v>
      </c>
      <c r="E4">
        <f>IF(D3=-1,E3,IF(D3=0,1,0))</f>
        <v>1</v>
      </c>
      <c r="F4" t="s">
        <v>36</v>
      </c>
      <c r="H4">
        <v>2</v>
      </c>
      <c r="I4">
        <f>IF(OR(EXACT($F$4,Sheet1!G13),EXACT(計算１!$F$5,Sheet1!G13)),Sheet1!G22,25)</f>
        <v>25</v>
      </c>
      <c r="K4" t="s">
        <v>43</v>
      </c>
      <c r="L4">
        <v>150</v>
      </c>
      <c r="M4" t="s">
        <v>112</v>
      </c>
      <c r="N4">
        <v>165</v>
      </c>
    </row>
    <row r="5" spans="2:18" x14ac:dyDescent="0.15">
      <c r="B5" t="s">
        <v>7</v>
      </c>
      <c r="C5" t="s">
        <v>26</v>
      </c>
      <c r="D5">
        <f>IF(EXACT(Sheet1!C14,"free"),-1,IF(EXACT(Sheet1!C14,"男"),1,0))</f>
        <v>0</v>
      </c>
      <c r="E5">
        <f t="shared" ref="E5:E8" si="0">IF(D4=-1,E4,IF(D4=0,1,0))</f>
        <v>1</v>
      </c>
      <c r="F5" t="s">
        <v>37</v>
      </c>
      <c r="H5">
        <v>3</v>
      </c>
      <c r="I5">
        <f>IF(OR(EXACT($F$4,Sheet1!G14),EXACT(計算１!$F$5,Sheet1!G14)),Sheet1!G23,Sheet1!F14)</f>
        <v>0</v>
      </c>
      <c r="K5" t="s">
        <v>111</v>
      </c>
      <c r="L5">
        <v>0</v>
      </c>
    </row>
    <row r="6" spans="2:18" x14ac:dyDescent="0.15">
      <c r="C6" t="s">
        <v>27</v>
      </c>
      <c r="D6">
        <f>IF(EXACT(Sheet1!C15,"free"),-1,IF(EXACT(Sheet1!C15,"男"),1,0))</f>
        <v>0</v>
      </c>
      <c r="E6">
        <f t="shared" si="0"/>
        <v>1</v>
      </c>
      <c r="H6">
        <v>4</v>
      </c>
      <c r="I6">
        <f>IF(OR(EXACT($F$4,Sheet1!G15),EXACT(計算１!$F$5,Sheet1!G15)),Sheet1!G24,Sheet1!F15)</f>
        <v>0</v>
      </c>
    </row>
    <row r="7" spans="2:18" x14ac:dyDescent="0.15">
      <c r="C7" t="s">
        <v>28</v>
      </c>
      <c r="D7">
        <f>IF(EXACT(Sheet1!C16,"free"),-1,IF(EXACT(Sheet1!C16,"男"),1,0))</f>
        <v>0</v>
      </c>
      <c r="E7">
        <f t="shared" si="0"/>
        <v>1</v>
      </c>
      <c r="F7" t="s">
        <v>22</v>
      </c>
      <c r="H7">
        <v>5</v>
      </c>
      <c r="I7">
        <f>IF(OR(EXACT($F$4,Sheet1!G16),EXACT(計算１!$F$5,Sheet1!G16)),Sheet1!G25,Sheet1!F16)</f>
        <v>0</v>
      </c>
    </row>
    <row r="8" spans="2:18" x14ac:dyDescent="0.15">
      <c r="C8" t="s">
        <v>29</v>
      </c>
      <c r="D8">
        <f>IF(EXACT(Sheet1!C17,"free"),-1,IF(EXACT(Sheet1!C17,"男"),1,0))</f>
        <v>0</v>
      </c>
      <c r="E8">
        <f t="shared" si="0"/>
        <v>1</v>
      </c>
      <c r="F8">
        <f>COUNTIF(Sheet1!$G$12:$G$17,$F$4)</f>
        <v>0</v>
      </c>
      <c r="H8">
        <v>6</v>
      </c>
      <c r="I8">
        <f>IF(OR(EXACT($F$4,Sheet1!G17),EXACT(計算１!$F$5,Sheet1!G17)),Sheet1!G26,Sheet1!F17)</f>
        <v>0</v>
      </c>
    </row>
    <row r="9" spans="2:18" x14ac:dyDescent="0.15">
      <c r="F9">
        <f>COUNTIF(Sheet1!$G$12:$G$17,$F$5)</f>
        <v>0</v>
      </c>
    </row>
    <row r="12" spans="2:18" x14ac:dyDescent="0.15">
      <c r="F12" t="s">
        <v>44</v>
      </c>
    </row>
    <row r="16" spans="2:18" x14ac:dyDescent="0.15">
      <c r="B16" s="39" t="s">
        <v>33</v>
      </c>
      <c r="C16" s="42"/>
      <c r="F16" s="39"/>
      <c r="G16" t="s">
        <v>49</v>
      </c>
      <c r="H16" s="39"/>
      <c r="I16" s="39"/>
      <c r="J16" s="39"/>
      <c r="M16" t="s">
        <v>49</v>
      </c>
      <c r="N16" s="39"/>
      <c r="O16" s="39"/>
      <c r="P16" s="39"/>
    </row>
    <row r="17" spans="2:16" x14ac:dyDescent="0.15">
      <c r="B17" s="39" t="s">
        <v>35</v>
      </c>
      <c r="G17" t="str">
        <f>IF(Sheet1!G12=計算１!$F$5,1,"0")</f>
        <v>0</v>
      </c>
      <c r="H17">
        <f>SUM(G17)</f>
        <v>0</v>
      </c>
      <c r="I17">
        <f>ROW()-16</f>
        <v>1</v>
      </c>
      <c r="J17" s="39" t="str">
        <f>IF(G17=1,I17,"")</f>
        <v/>
      </c>
      <c r="M17">
        <f>IF(Sheet1!G12=計算１!$F$4,1,0)</f>
        <v>0</v>
      </c>
      <c r="N17">
        <f>SUM(M17)</f>
        <v>0</v>
      </c>
      <c r="O17">
        <f>ROW()-16</f>
        <v>1</v>
      </c>
      <c r="P17" s="39" t="str">
        <f>IF(M17=1,O17,"-1")</f>
        <v>-1</v>
      </c>
    </row>
    <row r="18" spans="2:16" x14ac:dyDescent="0.15">
      <c r="B18">
        <f>IF(Sheet1!G12&lt;&gt;計算１!$F$3,0,Sheet1!F12)</f>
        <v>0</v>
      </c>
      <c r="G18" t="str">
        <f>IF(Sheet1!G13=計算１!$F$5,1,"0")</f>
        <v>0</v>
      </c>
      <c r="H18">
        <f>SUM($G$17:G18)</f>
        <v>0</v>
      </c>
      <c r="I18">
        <f t="shared" ref="I18:I22" si="1">ROW()-16</f>
        <v>2</v>
      </c>
      <c r="J18" s="39" t="str">
        <f t="shared" ref="J18:J22" si="2">IF(G18=1,I18,"")</f>
        <v/>
      </c>
      <c r="M18">
        <f>IF(Sheet1!G13=計算１!$F$4,1,0)</f>
        <v>0</v>
      </c>
      <c r="N18">
        <f>SUM($M$17:M18)</f>
        <v>0</v>
      </c>
      <c r="O18">
        <f t="shared" ref="O18:O21" si="3">ROW()-16</f>
        <v>2</v>
      </c>
      <c r="P18" s="39" t="str">
        <f t="shared" ref="P18:P22" si="4">IF(M18=1,O18,"-1")</f>
        <v>-1</v>
      </c>
    </row>
    <row r="19" spans="2:16" x14ac:dyDescent="0.15">
      <c r="B19">
        <f>IF(Sheet1!G13&lt;&gt;計算１!$F$3,0,Sheet1!F13)</f>
        <v>0</v>
      </c>
      <c r="G19" t="str">
        <f>IF(Sheet1!G14=計算１!$F$5,1,"0")</f>
        <v>0</v>
      </c>
      <c r="H19">
        <f>SUM($G$17:G19)</f>
        <v>0</v>
      </c>
      <c r="I19">
        <f t="shared" si="1"/>
        <v>3</v>
      </c>
      <c r="J19" s="39" t="str">
        <f t="shared" si="2"/>
        <v/>
      </c>
      <c r="M19">
        <f>IF(Sheet1!G14=計算１!$F$4,1,0)</f>
        <v>0</v>
      </c>
      <c r="N19">
        <f>IF(N18=2,"",SUM($M$17:M19))</f>
        <v>0</v>
      </c>
      <c r="O19">
        <f t="shared" si="3"/>
        <v>3</v>
      </c>
      <c r="P19" s="39" t="str">
        <f t="shared" si="4"/>
        <v>-1</v>
      </c>
    </row>
    <row r="20" spans="2:16" x14ac:dyDescent="0.15">
      <c r="B20">
        <f>IF(Sheet1!G14&lt;&gt;計算１!$F$3,0,Sheet1!F14)</f>
        <v>0</v>
      </c>
      <c r="G20" t="str">
        <f>IF(Sheet1!G15=計算１!$F$5,1,"0")</f>
        <v>0</v>
      </c>
      <c r="H20">
        <f>SUM($G$17:G20)</f>
        <v>0</v>
      </c>
      <c r="I20">
        <f t="shared" si="1"/>
        <v>4</v>
      </c>
      <c r="J20" s="39" t="str">
        <f t="shared" si="2"/>
        <v/>
      </c>
      <c r="M20">
        <f>IF(Sheet1!G15=計算１!$F$4,1,0)</f>
        <v>0</v>
      </c>
      <c r="N20">
        <f>SUM($M$17:M20)</f>
        <v>0</v>
      </c>
      <c r="O20">
        <f t="shared" si="3"/>
        <v>4</v>
      </c>
      <c r="P20" s="39" t="str">
        <f t="shared" si="4"/>
        <v>-1</v>
      </c>
    </row>
    <row r="21" spans="2:16" x14ac:dyDescent="0.15">
      <c r="B21">
        <f>IF(Sheet1!G15&lt;&gt;計算１!$F$3,0,Sheet1!F15)</f>
        <v>0</v>
      </c>
      <c r="G21" t="str">
        <f>IF(Sheet1!G16=計算１!$F$5,1,"0")</f>
        <v>0</v>
      </c>
      <c r="H21">
        <f>SUM($G$17:G21)</f>
        <v>0</v>
      </c>
      <c r="I21">
        <f t="shared" si="1"/>
        <v>5</v>
      </c>
      <c r="J21" s="39" t="str">
        <f t="shared" si="2"/>
        <v/>
      </c>
      <c r="M21">
        <f>IF(Sheet1!G16=計算１!$F$4,1,0)</f>
        <v>0</v>
      </c>
      <c r="N21">
        <f>SUM($M$17:M21)</f>
        <v>0</v>
      </c>
      <c r="O21">
        <f t="shared" si="3"/>
        <v>5</v>
      </c>
      <c r="P21" s="39" t="str">
        <f t="shared" si="4"/>
        <v>-1</v>
      </c>
    </row>
    <row r="22" spans="2:16" x14ac:dyDescent="0.15">
      <c r="B22">
        <f>IF(Sheet1!G16&lt;&gt;計算１!$F$3,0,Sheet1!F16)</f>
        <v>0</v>
      </c>
      <c r="G22" t="str">
        <f>IF(Sheet1!G17=計算１!$F$5,1,"0")</f>
        <v>0</v>
      </c>
      <c r="H22">
        <f>SUM($G$17:G22)</f>
        <v>0</v>
      </c>
      <c r="I22">
        <f t="shared" si="1"/>
        <v>6</v>
      </c>
      <c r="J22" s="39" t="str">
        <f t="shared" si="2"/>
        <v/>
      </c>
      <c r="M22">
        <f>IF(Sheet1!G17=計算１!$F$4,1,0)</f>
        <v>0</v>
      </c>
      <c r="N22">
        <f>SUM($M$17:M22)</f>
        <v>0</v>
      </c>
      <c r="O22">
        <f>ROW()-16</f>
        <v>6</v>
      </c>
      <c r="P22" s="39" t="str">
        <f t="shared" si="4"/>
        <v>-1</v>
      </c>
    </row>
    <row r="23" spans="2:16" x14ac:dyDescent="0.15">
      <c r="B23">
        <f>IF(Sheet1!G17&lt;&gt;計算１!$F$3,0,Sheet1!F17)</f>
        <v>0</v>
      </c>
      <c r="J23" s="39"/>
    </row>
    <row r="24" spans="2:16" x14ac:dyDescent="0.15">
      <c r="B24" t="s">
        <v>37</v>
      </c>
      <c r="H24">
        <f>IF(MIN(J17:J22)=-1,"",MIN(J17:J22))</f>
        <v>0</v>
      </c>
      <c r="J24" s="39"/>
      <c r="O24">
        <f>IF(MIN(P17:P22)=-1,"",MIN(P17:P22))</f>
        <v>0</v>
      </c>
    </row>
    <row r="25" spans="2:16" x14ac:dyDescent="0.15">
      <c r="B25">
        <f>IF(Sheet1!B21="",0,Sheet1!G21)</f>
        <v>0</v>
      </c>
      <c r="H25" t="str">
        <f>IF(MAX(J17:J22)=-1,"",IF(MAX(J17:J22)=H24,"",MAX(J17:J22)))</f>
        <v/>
      </c>
      <c r="O25" t="str">
        <f>IF(MAX(P17:P22)=-1,"",IF(MAX(P17:P22)=O24,"",MAX(P17:P22)))</f>
        <v/>
      </c>
    </row>
    <row r="26" spans="2:16" x14ac:dyDescent="0.15">
      <c r="B26">
        <f>IF(計算１!B22="",0,Sheet1!G22)</f>
        <v>0</v>
      </c>
    </row>
    <row r="27" spans="2:16" x14ac:dyDescent="0.15">
      <c r="B27" t="s">
        <v>36</v>
      </c>
    </row>
    <row r="28" spans="2:16" x14ac:dyDescent="0.15">
      <c r="E28" t="str">
        <f>IF(Sheet1!E26="","",Sheet1!K26)</f>
        <v/>
      </c>
    </row>
    <row r="29" spans="2:16" x14ac:dyDescent="0.15">
      <c r="E29" t="str">
        <f>IF(Sheet1!E27="","",Sheet1!K27)</f>
        <v/>
      </c>
    </row>
  </sheetData>
  <sheetProtection password="C20E" sheet="1" objects="1" scenarios="1"/>
  <phoneticPr fontId="1"/>
  <dataValidations count="1">
    <dataValidation type="list" allowBlank="1" showInputMessage="1" showErrorMessage="1" sqref="C16" xr:uid="{00000000-0002-0000-0100-000000000000}">
      <formula1>$B$4:$B$5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5"/>
  <sheetViews>
    <sheetView zoomScale="145" zoomScaleNormal="145" workbookViewId="0">
      <selection activeCell="C5" sqref="C5"/>
    </sheetView>
  </sheetViews>
  <sheetFormatPr defaultRowHeight="13.5" x14ac:dyDescent="0.15"/>
  <cols>
    <col min="1" max="1" width="18.625" bestFit="1" customWidth="1"/>
    <col min="3" max="3" width="10" bestFit="1" customWidth="1"/>
    <col min="5" max="5" width="18.625" customWidth="1"/>
    <col min="6" max="8" width="17.375" bestFit="1" customWidth="1"/>
    <col min="10" max="11" width="17.375" bestFit="1" customWidth="1"/>
  </cols>
  <sheetData>
    <row r="3" spans="1:9" x14ac:dyDescent="0.15">
      <c r="A3" t="s">
        <v>69</v>
      </c>
      <c r="B3">
        <f>IF(計算１!O24=0,0,600)</f>
        <v>0</v>
      </c>
      <c r="C3" t="s">
        <v>70</v>
      </c>
      <c r="D3" t="str">
        <f>IF(計算１!O25="","",600)</f>
        <v/>
      </c>
      <c r="E3" t="s">
        <v>60</v>
      </c>
      <c r="G3" t="s">
        <v>33</v>
      </c>
    </row>
    <row r="4" spans="1:9" x14ac:dyDescent="0.15">
      <c r="A4" t="s">
        <v>72</v>
      </c>
      <c r="B4">
        <f>IF(B3=0,0,IF(Sheet1!E26=計算１!M3,計算１!N3,計算１!N4))</f>
        <v>0</v>
      </c>
      <c r="C4" t="s">
        <v>73</v>
      </c>
      <c r="D4">
        <f>IF(D3="",0,IF(Sheet1!E27=計算１!M3,計算１!N3,計算１!N4))</f>
        <v>0</v>
      </c>
      <c r="E4" t="s">
        <v>65</v>
      </c>
      <c r="F4">
        <v>15</v>
      </c>
      <c r="G4" t="s">
        <v>57</v>
      </c>
      <c r="H4">
        <v>300</v>
      </c>
    </row>
    <row r="5" spans="1:9" x14ac:dyDescent="0.15">
      <c r="A5" t="s">
        <v>74</v>
      </c>
      <c r="B5">
        <f>IF(B3=0,0,IF(Sheet1!D26=計算１!K4,計算１!L4,計算１!L3))</f>
        <v>0</v>
      </c>
      <c r="C5" t="s">
        <v>75</v>
      </c>
      <c r="D5">
        <f>IF(B3=0,0,IF(Sheet1!D27=計算１!K4,計算１!L4,計算１!L3))</f>
        <v>0</v>
      </c>
      <c r="E5" t="s">
        <v>66</v>
      </c>
      <c r="F5">
        <v>30</v>
      </c>
      <c r="G5" t="s">
        <v>57</v>
      </c>
      <c r="H5">
        <v>180</v>
      </c>
    </row>
    <row r="6" spans="1:9" x14ac:dyDescent="0.15">
      <c r="B6">
        <f>SUM(B3:B5)</f>
        <v>0</v>
      </c>
      <c r="D6">
        <f>SUM(D3:D5)</f>
        <v>0</v>
      </c>
      <c r="E6" t="s">
        <v>67</v>
      </c>
      <c r="F6">
        <v>60</v>
      </c>
      <c r="G6">
        <f>Sheet1!I7</f>
        <v>0</v>
      </c>
      <c r="H6">
        <f>IF(G6&gt;H5,G6*2,0)</f>
        <v>0</v>
      </c>
    </row>
    <row r="9" spans="1:9" x14ac:dyDescent="0.15">
      <c r="A9" t="s">
        <v>64</v>
      </c>
      <c r="B9" s="39"/>
      <c r="C9" s="39"/>
      <c r="D9" s="39"/>
    </row>
    <row r="10" spans="1:9" x14ac:dyDescent="0.15">
      <c r="A10" t="s">
        <v>65</v>
      </c>
      <c r="B10">
        <v>15</v>
      </c>
    </row>
    <row r="11" spans="1:9" x14ac:dyDescent="0.15">
      <c r="A11" t="s">
        <v>66</v>
      </c>
      <c r="B11">
        <v>30</v>
      </c>
      <c r="F11" t="s">
        <v>68</v>
      </c>
      <c r="G11" t="s">
        <v>56</v>
      </c>
      <c r="H11" t="s">
        <v>71</v>
      </c>
      <c r="I11" t="s">
        <v>55</v>
      </c>
    </row>
    <row r="12" spans="1:9" x14ac:dyDescent="0.15">
      <c r="A12" t="s">
        <v>67</v>
      </c>
      <c r="B12">
        <v>60</v>
      </c>
      <c r="F12">
        <f>SUM(A15:B15)</f>
        <v>0</v>
      </c>
      <c r="G12">
        <f>H6</f>
        <v>0</v>
      </c>
      <c r="H12">
        <f>SUM(B6,D6)</f>
        <v>0</v>
      </c>
      <c r="I12">
        <f>SUM(F12:H12)</f>
        <v>0</v>
      </c>
    </row>
    <row r="14" spans="1:9" x14ac:dyDescent="0.15">
      <c r="A14" s="2">
        <v>1</v>
      </c>
      <c r="B14">
        <v>2</v>
      </c>
    </row>
    <row r="15" spans="1:9" x14ac:dyDescent="0.15">
      <c r="A15" t="str">
        <f>IF(Sheet1!B21="","",IF(Sheet1!D21=A10,B10,IF(Sheet1!D21=A11,B11,B12)))</f>
        <v/>
      </c>
      <c r="B15" t="str">
        <f>IF(Sheet1!B22="","",IF(Sheet1!D22=A10,B10,IF(Sheet1!D22=A11,B11,B12)))</f>
        <v/>
      </c>
    </row>
  </sheetData>
  <sheetProtection password="C20E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Sheet1</vt:lpstr>
      <vt:lpstr>計算１</vt:lpstr>
      <vt:lpstr>アドバンテージ表</vt:lpstr>
      <vt:lpstr>Animal</vt:lpstr>
      <vt:lpstr>Person</vt:lpstr>
      <vt:lpstr>Robot</vt:lpstr>
      <vt:lpstr>Type</vt:lpstr>
      <vt:lpstr>チーム情報</vt:lpstr>
      <vt:lpstr>走者情報</vt:lpstr>
      <vt:lpstr>補欠情報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</dc:creator>
  <cp:lastModifiedBy>Yoshiki Tanaka</cp:lastModifiedBy>
  <dcterms:created xsi:type="dcterms:W3CDTF">2013-12-20T11:25:32Z</dcterms:created>
  <dcterms:modified xsi:type="dcterms:W3CDTF">2021-10-01T12:36:02Z</dcterms:modified>
</cp:coreProperties>
</file>